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🏠 Start Here" sheetId="1" state="visible" r:id="rId3"/>
    <sheet name="📊 Rental - Buy &amp; Hold" sheetId="2" state="visible" r:id="rId4"/>
    <sheet name="🔨 Fix &amp; Flip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<sst xmlns="http://schemas.openxmlformats.org/spreadsheetml/2006/main" count="125" uniqueCount="115">
  <si>
    <t xml:space="preserve">AI-Enhanced Real Estate Deal Analyzer</t>
  </si>
  <si>
    <t xml:space="preserve">Free tool by HomeSage.ai  ·  homesage.ai</t>
  </si>
  <si>
    <t xml:space="preserve">WHAT'S INSIDE THIS ANALYZER</t>
  </si>
  <si>
    <t xml:space="preserve">📊  Rental / Buy &amp; Hold</t>
  </si>
  <si>
    <t xml:space="preserve">Calculate monthly cash flow, cap rate, cash-on-cash return, and 5-year projection for any rental property.</t>
  </si>
  <si>
    <t xml:space="preserve">🔨  Fix &amp; Flip</t>
  </si>
  <si>
    <t xml:space="preserve">Estimate profit, ROI, and Maximum Allowable Offer for fix-and-flip deals with full rehab and holding cost breakdown.</t>
  </si>
  <si>
    <t xml:space="preserve">HOW TO USE THIS TOOL</t>
  </si>
  <si>
    <t xml:space="preserve">1.  Click the tab for the deal type you're analyzing (Rental or Fix &amp; Flip)</t>
  </si>
  <si>
    <t xml:space="preserve">2.  Enter your numbers in the blue cells — everything else calculates automatically</t>
  </si>
  <si>
    <t xml:space="preserve">3.  Review your key metrics in the results section</t>
  </si>
  <si>
    <t xml:space="preserve">4.  Use the Price Flexibility Score section to check seller motivation at HomeSage.ai</t>
  </si>
  <si>
    <t xml:space="preserve">COLOR LEGEND</t>
  </si>
  <si>
    <t xml:space="preserve">Blue text on cream   = Enter your numbers here</t>
  </si>
  <si>
    <t xml:space="preserve">Dark text on blue    = Calculated automatically — do not edit</t>
  </si>
  <si>
    <t xml:space="preserve">Blue text on light   = Section headers</t>
  </si>
  <si>
    <t xml:space="preserve">🔍  Want real-time Price Flexibility Scores for any U.S. property? Visit homesage.ai</t>
  </si>
  <si>
    <t xml:space="preserve">Rental / Buy &amp; Hold Deal Analyzer</t>
  </si>
  <si>
    <t xml:space="preserve">Enter values in blue cells  ·  All other cells calculate automatically  ·  homesage.ai</t>
  </si>
  <si>
    <t xml:space="preserve">  A.  PROPERTY &amp; FINANCING</t>
  </si>
  <si>
    <t xml:space="preserve">Purchase Price ($)</t>
  </si>
  <si>
    <t xml:space="preserve">Down Payment (%)</t>
  </si>
  <si>
    <t xml:space="preserve">Closing Costs (%)</t>
  </si>
  <si>
    <t xml:space="preserve">Interest Rate (%)</t>
  </si>
  <si>
    <t xml:space="preserve">Loan Term (years)</t>
  </si>
  <si>
    <t xml:space="preserve">  Calculated Financing</t>
  </si>
  <si>
    <t xml:space="preserve">Down Payment ($)</t>
  </si>
  <si>
    <t xml:space="preserve">Closing Costs ($)</t>
  </si>
  <si>
    <t xml:space="preserve">Total Cash Invested ($)</t>
  </si>
  <si>
    <t xml:space="preserve">Loan Amount ($)</t>
  </si>
  <si>
    <t xml:space="preserve">Monthly Mortgage (P&amp;I)</t>
  </si>
  <si>
    <t xml:space="preserve">  B.  RENTAL INCOME (Monthly)</t>
  </si>
  <si>
    <t xml:space="preserve">Monthly Gross Rent ($)</t>
  </si>
  <si>
    <t xml:space="preserve">Vacancy Rate (%)</t>
  </si>
  <si>
    <t xml:space="preserve">Other Monthly Income ($)</t>
  </si>
  <si>
    <t xml:space="preserve">Effective Gross Income (monthly)</t>
  </si>
  <si>
    <t xml:space="preserve">  C.  MONTHLY EXPENSES</t>
  </si>
  <si>
    <t xml:space="preserve">Property Tax (monthly, $)</t>
  </si>
  <si>
    <t xml:space="preserve">Insurance (monthly, $)</t>
  </si>
  <si>
    <t xml:space="preserve">HOA Fees (monthly, $)</t>
  </si>
  <si>
    <t xml:space="preserve">Maintenance (% of rent)</t>
  </si>
  <si>
    <t xml:space="preserve">Property Management (% of rent)</t>
  </si>
  <si>
    <t xml:space="preserve">Other Expenses (monthly, $)</t>
  </si>
  <si>
    <t xml:space="preserve">Maintenance ($)</t>
  </si>
  <si>
    <t xml:space="preserve">Property Management ($)</t>
  </si>
  <si>
    <t xml:space="preserve">TOTAL MONTHLY EXPENSES</t>
  </si>
  <si>
    <t xml:space="preserve">  D.  KEY METRICS</t>
  </si>
  <si>
    <t xml:space="preserve">Monthly Cash Flow</t>
  </si>
  <si>
    <t xml:space="preserve">Annual Cash Flow</t>
  </si>
  <si>
    <t xml:space="preserve">Cash-on-Cash Return</t>
  </si>
  <si>
    <t xml:space="preserve">Cap Rate (NOI / Purchase Price)</t>
  </si>
  <si>
    <t xml:space="preserve">Gross Rent Multiplier (GRM)</t>
  </si>
  <si>
    <t xml:space="preserve">Deal Verdict</t>
  </si>
  <si>
    <t xml:space="preserve">  E.  5-YEAR PROJECTION</t>
  </si>
  <si>
    <t xml:space="preserve">  Projection Assumptions</t>
  </si>
  <si>
    <t xml:space="preserve">Annual Rent Growth (%)</t>
  </si>
  <si>
    <t xml:space="preserve">Annual Property Appreciation (%)</t>
  </si>
  <si>
    <t xml:space="preserve">Metric</t>
  </si>
  <si>
    <t xml:space="preserve">Year 1</t>
  </si>
  <si>
    <t xml:space="preserve">Year 2</t>
  </si>
  <si>
    <t xml:space="preserve">Year 3</t>
  </si>
  <si>
    <t xml:space="preserve">Year 4</t>
  </si>
  <si>
    <t xml:space="preserve">Year 5</t>
  </si>
  <si>
    <t xml:space="preserve">Monthly Rent ($)</t>
  </si>
  <si>
    <t xml:space="preserve">Annual Cash Flow ($)</t>
  </si>
  <si>
    <t xml:space="preserve">Property Value ($)</t>
  </si>
  <si>
    <t xml:space="preserve">Remaining Loan Balance ($)</t>
  </si>
  <si>
    <t xml:space="preserve">Estimated Equity ($)</t>
  </si>
  <si>
    <t xml:space="preserve">🔍  Price Flexibility Score — Is the Seller Motivated to Negotiate?</t>
  </si>
  <si>
    <t xml:space="preserve">HomeSage.ai's exclusive Price Flexibility Score predicts how likely a seller is to negotiate — before you make an offer.</t>
  </si>
  <si>
    <t xml:space="preserve">A high score means the seller may accept below asking price. A low score means they're firm.</t>
  </si>
  <si>
    <t xml:space="preserve">→  Get the free Price Flexibility Score for this property at:  homesage.ai</t>
  </si>
  <si>
    <t xml:space="preserve">→  Paste the property address into DealFinder and see the full AI-powered analysis in seconds.</t>
  </si>
  <si>
    <t xml:space="preserve">Fix &amp; Flip Deal Analyzer</t>
  </si>
  <si>
    <t xml:space="preserve">  A.  PURCHASE &amp; FINANCING</t>
  </si>
  <si>
    <t xml:space="preserve">Interest Rate — Hard Money (%)</t>
  </si>
  <si>
    <t xml:space="preserve">Loan Term (months)</t>
  </si>
  <si>
    <t xml:space="preserve">Origination Fee (%)</t>
  </si>
  <si>
    <t xml:space="preserve">Origination Fee ($)</t>
  </si>
  <si>
    <t xml:space="preserve">Monthly Interest ($)</t>
  </si>
  <si>
    <t xml:space="preserve">  B.  REHAB COSTS</t>
  </si>
  <si>
    <t xml:space="preserve">Kitchen Renovation</t>
  </si>
  <si>
    <t xml:space="preserve">Bathroom(s)</t>
  </si>
  <si>
    <t xml:space="preserve">Flooring</t>
  </si>
  <si>
    <t xml:space="preserve">Roof / Structural</t>
  </si>
  <si>
    <t xml:space="preserve">HVAC / Electrical / Plumbing</t>
  </si>
  <si>
    <t xml:space="preserve">Paint (Interior + Exterior)</t>
  </si>
  <si>
    <t xml:space="preserve">Landscaping / Curb Appeal</t>
  </si>
  <si>
    <t xml:space="preserve">Windows / Doors</t>
  </si>
  <si>
    <t xml:space="preserve">Other Rehab Costs</t>
  </si>
  <si>
    <t xml:space="preserve">TOTAL REHAB COSTS</t>
  </si>
  <si>
    <t xml:space="preserve">  C.  HOLDING COSTS</t>
  </si>
  <si>
    <t xml:space="preserve">Holding Period (months)</t>
  </si>
  <si>
    <t xml:space="preserve">Utilities (monthly, $)</t>
  </si>
  <si>
    <t xml:space="preserve">Other Monthly Holding Costs ($)</t>
  </si>
  <si>
    <t xml:space="preserve">TOTAL HOLDING COSTS</t>
  </si>
  <si>
    <t xml:space="preserve">  D.  AFTER-REPAIR VALUE &amp; SELLING COSTS</t>
  </si>
  <si>
    <t xml:space="preserve">After-Repair Value / ARV ($)</t>
  </si>
  <si>
    <t xml:space="preserve">Agent Commission (%)</t>
  </si>
  <si>
    <t xml:space="preserve">Seller Closing Costs (%)</t>
  </si>
  <si>
    <t xml:space="preserve">Staging / Marketing ($)</t>
  </si>
  <si>
    <t xml:space="preserve">TOTAL SELLING COSTS</t>
  </si>
  <si>
    <t xml:space="preserve">  E.  PROFIT SUMMARY</t>
  </si>
  <si>
    <t xml:space="preserve">Total Cash In (purchase + down + orig fee)</t>
  </si>
  <si>
    <t xml:space="preserve">Total All-In Cost</t>
  </si>
  <si>
    <t xml:space="preserve">NET PROFIT</t>
  </si>
  <si>
    <t xml:space="preserve">Return on Investment (ROI %)</t>
  </si>
  <si>
    <t xml:space="preserve">Annualized ROI</t>
  </si>
  <si>
    <t xml:space="preserve">  70% Rule — Maximum Allowable Offer (MAO)</t>
  </si>
  <si>
    <t xml:space="preserve">70% Rule MAO  =  ARV × 70% − Rehab Costs</t>
  </si>
  <si>
    <t xml:space="preserve">Your Purchase Price vs MAO</t>
  </si>
  <si>
    <t xml:space="preserve">🔍  Price Flexibility Score — Know Your Negotiating Power Before You Offer</t>
  </si>
  <si>
    <t xml:space="preserve">HomeSage.ai's Price Flexibility Score predicts seller motivation before you make your offer.</t>
  </si>
  <si>
    <t xml:space="preserve">For fix-and-flip deals, knowing whether the seller will negotiate can be the difference between a deal and a pass.</t>
  </si>
  <si>
    <t xml:space="preserve">→  Search any U.S. address in DealFinder to see the AI-powered full property analysis.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</si>
</sst>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$#,##0"/>
    <numFmt numFmtId="166" formatCode="0.0%"/>
    <numFmt numFmtId="167" formatCode="0"/>
    <numFmt numFmtId="168" formatCode="\$#,##0.00"/>
    <numFmt numFmtId="169" formatCode="0.0\x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FFFFFF"/>
      <name val="Montserrat"/>
      <family val="0"/>
      <charset val="1"/>
    </font>
    <font>
      <i val="true"/>
      <sz val="12"/>
      <color rgb="FFD9E1FE"/>
      <name val="Montserrat"/>
      <family val="0"/>
      <charset val="1"/>
    </font>
    <font>
      <b val="true"/>
      <sz val="13"/>
      <color rgb="FF5177FC"/>
      <name val="Montserrat"/>
      <family val="0"/>
      <charset val="1"/>
    </font>
    <font>
      <b val="true"/>
      <sz val="11"/>
      <color rgb="FF5177FC"/>
      <name val="Montserrat"/>
      <family val="0"/>
      <charset val="1"/>
    </font>
    <font>
      <sz val="10"/>
      <color rgb="FF1A1A2E"/>
      <name val="Montserrat"/>
      <family val="0"/>
      <charset val="1"/>
    </font>
    <font>
      <b val="true"/>
      <sz val="10"/>
      <color rgb="FF0055CC"/>
      <name val="Montserrat"/>
      <family val="0"/>
      <charset val="1"/>
    </font>
    <font>
      <b val="true"/>
      <sz val="10"/>
      <color rgb="FF1A1A2E"/>
      <name val="Montserrat"/>
      <family val="0"/>
      <charset val="1"/>
    </font>
    <font>
      <b val="true"/>
      <sz val="10"/>
      <color rgb="FF5177FC"/>
      <name val="Montserrat"/>
      <family val="0"/>
      <charset val="1"/>
    </font>
    <font>
      <b val="true"/>
      <sz val="11"/>
      <color rgb="FFFFFFFF"/>
      <name val="Montserrat"/>
      <family val="0"/>
      <charset val="1"/>
    </font>
    <font>
      <b val="true"/>
      <sz val="20"/>
      <color rgb="FFFFFFFF"/>
      <name val="Montserrat"/>
      <family val="0"/>
      <charset val="1"/>
    </font>
    <font>
      <i val="true"/>
      <sz val="10"/>
      <color rgb="FFD9E1FE"/>
      <name val="Montserrat"/>
      <family val="0"/>
      <charset val="1"/>
    </font>
    <font>
      <b val="true"/>
      <sz val="10"/>
      <color rgb="FFFFFFFF"/>
      <name val="Montserrat"/>
      <family val="0"/>
      <charset val="1"/>
    </font>
    <font>
      <b val="true"/>
      <sz val="14"/>
      <color rgb="FFFFFFFF"/>
      <name val="Montserrat"/>
      <family val="0"/>
      <charset val="1"/>
    </font>
    <font>
      <sz val="10"/>
      <color rgb="FFFFFFFF"/>
      <name val="Montserrat"/>
      <family val="0"/>
      <charset val="1"/>
    </font>
    <font>
      <i val="true"/>
      <sz val="10"/>
      <color rgb="FF1A1A2E"/>
      <name val="Montserrat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5177FC"/>
        <bgColor rgb="FF666699"/>
      </patternFill>
    </fill>
    <fill>
      <patternFill patternType="solid">
        <fgColor rgb="FF819CFD"/>
        <bgColor rgb="FF969696"/>
      </patternFill>
    </fill>
    <fill>
      <patternFill patternType="solid">
        <fgColor rgb="FFD9E1FE"/>
        <bgColor rgb="FFE8EDFF"/>
      </patternFill>
    </fill>
    <fill>
      <patternFill patternType="solid">
        <fgColor rgb="FFFFFFFF"/>
        <bgColor rgb="FFFFF9E6"/>
      </patternFill>
    </fill>
    <fill>
      <patternFill patternType="solid">
        <fgColor rgb="FFF5F5F5"/>
        <bgColor rgb="FFFFF9E6"/>
      </patternFill>
    </fill>
    <fill>
      <patternFill patternType="solid">
        <fgColor rgb="FFFFF9E6"/>
        <bgColor rgb="FFF5F5F5"/>
      </patternFill>
    </fill>
    <fill>
      <patternFill patternType="solid">
        <fgColor rgb="FFE8EDFF"/>
        <bgColor rgb="FFE6F4EA"/>
      </patternFill>
    </fill>
    <fill>
      <patternFill patternType="solid">
        <fgColor rgb="FFE6F4EA"/>
        <bgColor rgb="FFE8EDFF"/>
      </patternFill>
    </fill>
    <fill>
      <patternFill patternType="solid">
        <fgColor rgb="FFFFC107"/>
        <bgColor rgb="FFFF9900"/>
      </patternFill>
    </fill>
    <fill>
      <patternFill patternType="solid">
        <fgColor rgb="FF1A1A2E"/>
        <bgColor rgb="FF3333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0BEC5"/>
      </left>
      <right style="thin">
        <color rgb="FFB0BEC5"/>
      </right>
      <top style="thin">
        <color rgb="FFB0BEC5"/>
      </top>
      <bottom style="thin">
        <color rgb="FFB0BEC5"/>
      </bottom>
      <diagonal/>
    </border>
    <border diagonalUp="false" diagonalDown="false">
      <left style="thin">
        <color rgb="FFB0BEC5"/>
      </left>
      <right/>
      <top style="thin">
        <color rgb="FFB0BEC5"/>
      </top>
      <bottom style="thin">
        <color rgb="FFB0BEC5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7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8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11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11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11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11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0BEC5"/>
      <rgbColor rgb="FF808080"/>
      <rgbColor rgb="FF819CFD"/>
      <rgbColor rgb="FF993366"/>
      <rgbColor rgb="FFFFF9E6"/>
      <rgbColor rgb="FFE6F4EA"/>
      <rgbColor rgb="FF660066"/>
      <rgbColor rgb="FFFF8080"/>
      <rgbColor rgb="FF0055CC"/>
      <rgbColor rgb="FFD9E1F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EDFF"/>
      <rgbColor rgb="FFF5F5F5"/>
      <rgbColor rgb="FFFFFF99"/>
      <rgbColor rgb="FF99CCFF"/>
      <rgbColor rgb="FFFF99CC"/>
      <rgbColor rgb="FFCC99FF"/>
      <rgbColor rgb="FFFFCC99"/>
      <rgbColor rgb="FF5177FC"/>
      <rgbColor rgb="FF33CCCC"/>
      <rgbColor rgb="FF99CC00"/>
      <rgbColor rgb="FFFFC107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2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42"/>
    <col collapsed="false" customWidth="true" hidden="false" outlineLevel="0" max="3" min="3" style="0" width="28"/>
    <col collapsed="false" customWidth="true" hidden="false" outlineLevel="0" max="4" min="4" style="0" width="18"/>
  </cols>
  <sheetData>
    <row r="1" customFormat="false" ht="15.75" hidden="false" customHeight="true" outlineLevel="0" collapsed="false">
      <c r="A1" s="1"/>
      <c r="B1" s="1"/>
      <c r="C1" s="1"/>
      <c r="D1" s="1"/>
      <c r="E1" s="1"/>
    </row>
    <row r="2" customFormat="false" ht="15.75" hidden="false" customHeight="true" outlineLevel="0" collapsed="false">
      <c r="A2" s="1"/>
      <c r="B2" s="1"/>
      <c r="C2" s="1"/>
      <c r="D2" s="1"/>
      <c r="E2" s="1"/>
    </row>
    <row r="3" customFormat="false" ht="15.75" hidden="false" customHeight="true" outlineLevel="0" collapsed="false">
      <c r="A3" s="1"/>
      <c r="B3" s="1"/>
      <c r="C3" s="1"/>
      <c r="D3" s="1"/>
      <c r="E3" s="1"/>
    </row>
    <row r="4" customFormat="false" ht="15.75" hidden="false" customHeight="true" outlineLevel="0" collapsed="false">
      <c r="A4" s="1"/>
      <c r="B4" s="1"/>
      <c r="C4" s="1"/>
      <c r="D4" s="1"/>
      <c r="E4" s="1"/>
    </row>
    <row r="5" customFormat="false" ht="60" hidden="false" customHeight="true" outlineLevel="0" collapsed="false">
      <c r="B5" s="2" t="s">
        <v>0</v>
      </c>
      <c r="C5" s="2"/>
      <c r="D5" s="2"/>
    </row>
    <row r="6" customFormat="false" ht="30" hidden="false" customHeight="true" outlineLevel="0" collapsed="false">
      <c r="B6" s="3" t="s">
        <v>1</v>
      </c>
      <c r="C6" s="3"/>
      <c r="D6" s="3"/>
    </row>
    <row r="7" customFormat="false" ht="7.5" hidden="false" customHeight="true" outlineLevel="0" collapsed="false">
      <c r="A7" s="4"/>
      <c r="B7" s="4"/>
      <c r="C7" s="4"/>
      <c r="D7" s="4"/>
      <c r="E7" s="4"/>
    </row>
    <row r="8" customFormat="false" ht="7.5" hidden="false" customHeight="true" outlineLevel="0" collapsed="false">
      <c r="A8" s="4"/>
      <c r="B8" s="4"/>
      <c r="C8" s="4"/>
      <c r="D8" s="4"/>
      <c r="E8" s="4"/>
    </row>
    <row r="9" customFormat="false" ht="7.5" hidden="false" customHeight="true" outlineLevel="0" collapsed="false">
      <c r="A9" s="4"/>
      <c r="B9" s="4"/>
      <c r="C9" s="4"/>
      <c r="D9" s="4"/>
      <c r="E9" s="4"/>
    </row>
    <row r="10" customFormat="false" ht="9.75" hidden="false" customHeight="true" outlineLevel="0" collapsed="false"/>
    <row r="11" customFormat="false" ht="27.75" hidden="false" customHeight="true" outlineLevel="0" collapsed="false">
      <c r="B11" s="5" t="s">
        <v>2</v>
      </c>
      <c r="C11" s="5"/>
      <c r="D11" s="5"/>
    </row>
    <row r="12" customFormat="false" ht="21.75" hidden="false" customHeight="true" outlineLevel="0" collapsed="false">
      <c r="B12" s="6" t="s">
        <v>3</v>
      </c>
    </row>
    <row r="13" customFormat="false" ht="31.5" hidden="false" customHeight="true" outlineLevel="0" collapsed="false">
      <c r="B13" s="7" t="s">
        <v>4</v>
      </c>
      <c r="C13" s="7"/>
      <c r="D13" s="7"/>
    </row>
    <row r="14" customFormat="false" ht="6" hidden="false" customHeight="true" outlineLevel="0" collapsed="false"/>
    <row r="15" customFormat="false" ht="21.75" hidden="false" customHeight="true" outlineLevel="0" collapsed="false">
      <c r="B15" s="6" t="s">
        <v>5</v>
      </c>
    </row>
    <row r="16" customFormat="false" ht="31.5" hidden="false" customHeight="true" outlineLevel="0" collapsed="false">
      <c r="B16" s="7" t="s">
        <v>6</v>
      </c>
      <c r="C16" s="7"/>
      <c r="D16" s="7"/>
    </row>
    <row r="17" customFormat="false" ht="6" hidden="false" customHeight="true" outlineLevel="0" collapsed="false"/>
    <row r="19" customFormat="false" ht="27.75" hidden="false" customHeight="true" outlineLevel="0" collapsed="false">
      <c r="B19" s="5" t="s">
        <v>7</v>
      </c>
      <c r="C19" s="5"/>
      <c r="D19" s="5"/>
    </row>
    <row r="20" customFormat="false" ht="21.75" hidden="false" customHeight="true" outlineLevel="0" collapsed="false">
      <c r="B20" s="8" t="s">
        <v>8</v>
      </c>
      <c r="C20" s="8"/>
      <c r="D20" s="8"/>
    </row>
    <row r="21" customFormat="false" ht="21.75" hidden="false" customHeight="true" outlineLevel="0" collapsed="false">
      <c r="B21" s="8" t="s">
        <v>9</v>
      </c>
      <c r="C21" s="8"/>
      <c r="D21" s="8"/>
    </row>
    <row r="22" customFormat="false" ht="21.75" hidden="false" customHeight="true" outlineLevel="0" collapsed="false">
      <c r="B22" s="8" t="s">
        <v>10</v>
      </c>
      <c r="C22" s="8"/>
      <c r="D22" s="8"/>
    </row>
    <row r="23" customFormat="false" ht="21.75" hidden="false" customHeight="true" outlineLevel="0" collapsed="false">
      <c r="B23" s="8" t="s">
        <v>11</v>
      </c>
      <c r="C23" s="8"/>
      <c r="D23" s="8"/>
    </row>
    <row r="25" customFormat="false" ht="27.75" hidden="false" customHeight="true" outlineLevel="0" collapsed="false">
      <c r="B25" s="5" t="s">
        <v>12</v>
      </c>
      <c r="C25" s="5"/>
      <c r="D25" s="5"/>
    </row>
    <row r="26" customFormat="false" ht="19.5" hidden="false" customHeight="true" outlineLevel="0" collapsed="false">
      <c r="B26" s="9" t="s">
        <v>13</v>
      </c>
      <c r="C26" s="9"/>
      <c r="D26" s="9"/>
    </row>
    <row r="27" customFormat="false" ht="19.5" hidden="false" customHeight="true" outlineLevel="0" collapsed="false">
      <c r="B27" s="10" t="s">
        <v>14</v>
      </c>
      <c r="C27" s="10"/>
      <c r="D27" s="10"/>
    </row>
    <row r="28" customFormat="false" ht="19.5" hidden="false" customHeight="true" outlineLevel="0" collapsed="false">
      <c r="B28" s="11" t="s">
        <v>15</v>
      </c>
      <c r="C28" s="11"/>
      <c r="D28" s="11"/>
    </row>
    <row r="31" customFormat="false" ht="36" hidden="false" customHeight="true" outlineLevel="0" collapsed="false">
      <c r="B31" s="12" t="s">
        <v>16</v>
      </c>
      <c r="C31" s="12"/>
      <c r="D31" s="12"/>
    </row>
  </sheetData>
  <mergeCells count="15">
    <mergeCell ref="B5:D5"/>
    <mergeCell ref="B6:D6"/>
    <mergeCell ref="B11:D11"/>
    <mergeCell ref="B13:D13"/>
    <mergeCell ref="B16:D16"/>
    <mergeCell ref="B19:D19"/>
    <mergeCell ref="B20:D20"/>
    <mergeCell ref="B21:D21"/>
    <mergeCell ref="B22:D22"/>
    <mergeCell ref="B23:D23"/>
    <mergeCell ref="B25:D25"/>
    <mergeCell ref="B26:D26"/>
    <mergeCell ref="B27:D27"/>
    <mergeCell ref="B28:D28"/>
    <mergeCell ref="B31:D3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6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"/>
    <col collapsed="false" customWidth="true" hidden="false" outlineLevel="0" max="3" min="3" style="0" width="38"/>
    <col collapsed="false" customWidth="true" hidden="false" outlineLevel="0" max="4" min="4" style="0" width="6"/>
    <col collapsed="false" customWidth="true" hidden="false" outlineLevel="0" max="9" min="5" style="0" width="16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</row>
    <row r="2" customFormat="false" ht="43.5" hidden="false" customHeight="true" outlineLevel="0" collapsed="false">
      <c r="C2" s="13" t="s">
        <v>17</v>
      </c>
      <c r="D2" s="13"/>
      <c r="E2" s="13"/>
      <c r="F2" s="13"/>
      <c r="G2" s="13"/>
      <c r="H2" s="13"/>
    </row>
    <row r="3" customFormat="false" ht="21.75" hidden="false" customHeight="true" outlineLevel="0" collapsed="false">
      <c r="C3" s="14" t="s">
        <v>18</v>
      </c>
      <c r="D3" s="14"/>
      <c r="E3" s="14"/>
      <c r="F3" s="14"/>
      <c r="G3" s="14"/>
      <c r="H3" s="14"/>
    </row>
    <row r="4" customFormat="false" ht="6" hidden="false" customHeight="true" outlineLevel="0" collapsed="false">
      <c r="A4" s="4"/>
      <c r="B4" s="4"/>
      <c r="C4" s="4"/>
      <c r="D4" s="4"/>
      <c r="E4" s="4"/>
      <c r="F4" s="4"/>
      <c r="G4" s="4"/>
      <c r="H4" s="4"/>
    </row>
    <row r="5" customFormat="false" ht="6" hidden="false" customHeight="true" outlineLevel="0" collapsed="false"/>
    <row r="6" customFormat="false" ht="21.75" hidden="false" customHeight="true" outlineLevel="0" collapsed="false">
      <c r="C6" s="15" t="s">
        <v>19</v>
      </c>
      <c r="D6" s="15"/>
      <c r="E6" s="15"/>
      <c r="F6" s="15"/>
      <c r="G6" s="15"/>
      <c r="H6" s="15"/>
    </row>
    <row r="7" customFormat="false" ht="19.5" hidden="false" customHeight="true" outlineLevel="0" collapsed="false">
      <c r="C7" s="16" t="s">
        <v>20</v>
      </c>
      <c r="D7" s="17"/>
      <c r="E7" s="18" t="n">
        <v>280000</v>
      </c>
      <c r="F7" s="17"/>
    </row>
    <row r="8" customFormat="false" ht="19.5" hidden="false" customHeight="true" outlineLevel="0" collapsed="false">
      <c r="C8" s="16" t="s">
        <v>21</v>
      </c>
      <c r="D8" s="17"/>
      <c r="E8" s="19" t="n">
        <v>0.2</v>
      </c>
      <c r="F8" s="17"/>
    </row>
    <row r="9" customFormat="false" ht="19.5" hidden="false" customHeight="true" outlineLevel="0" collapsed="false">
      <c r="C9" s="16" t="s">
        <v>22</v>
      </c>
      <c r="D9" s="17"/>
      <c r="E9" s="19" t="n">
        <v>0.03</v>
      </c>
      <c r="F9" s="17"/>
    </row>
    <row r="10" customFormat="false" ht="19.5" hidden="false" customHeight="true" outlineLevel="0" collapsed="false">
      <c r="C10" s="16" t="s">
        <v>23</v>
      </c>
      <c r="D10" s="17"/>
      <c r="E10" s="19" t="n">
        <v>0.065</v>
      </c>
      <c r="F10" s="17"/>
    </row>
    <row r="11" customFormat="false" ht="19.5" hidden="false" customHeight="true" outlineLevel="0" collapsed="false">
      <c r="C11" s="16" t="s">
        <v>24</v>
      </c>
      <c r="D11" s="17"/>
      <c r="E11" s="20" t="n">
        <v>30</v>
      </c>
      <c r="F11" s="17"/>
    </row>
    <row r="12" customFormat="false" ht="6" hidden="false" customHeight="true" outlineLevel="0" collapsed="false"/>
    <row r="13" customFormat="false" ht="18" hidden="false" customHeight="true" outlineLevel="0" collapsed="false">
      <c r="C13" s="11" t="s">
        <v>25</v>
      </c>
      <c r="D13" s="11"/>
      <c r="E13" s="11"/>
      <c r="F13" s="11"/>
      <c r="G13" s="11"/>
      <c r="H13" s="11"/>
    </row>
    <row r="14" customFormat="false" ht="19.5" hidden="false" customHeight="true" outlineLevel="0" collapsed="false">
      <c r="C14" s="16" t="s">
        <v>26</v>
      </c>
      <c r="D14" s="17"/>
      <c r="E14" s="21" t="n">
        <f aca="false">E7*E8</f>
        <v>56000</v>
      </c>
      <c r="F14" s="17"/>
    </row>
    <row r="15" customFormat="false" ht="19.5" hidden="false" customHeight="true" outlineLevel="0" collapsed="false">
      <c r="C15" s="16" t="s">
        <v>27</v>
      </c>
      <c r="D15" s="17"/>
      <c r="E15" s="21" t="n">
        <f aca="false">E7*E9</f>
        <v>8400</v>
      </c>
      <c r="F15" s="17"/>
    </row>
    <row r="16" customFormat="false" ht="19.5" hidden="false" customHeight="true" outlineLevel="0" collapsed="false">
      <c r="C16" s="16" t="s">
        <v>28</v>
      </c>
      <c r="D16" s="17"/>
      <c r="E16" s="21" t="n">
        <f aca="false">E14+E15</f>
        <v>64400</v>
      </c>
      <c r="F16" s="17"/>
    </row>
    <row r="17" customFormat="false" ht="19.5" hidden="false" customHeight="true" outlineLevel="0" collapsed="false">
      <c r="C17" s="16" t="s">
        <v>29</v>
      </c>
      <c r="D17" s="17"/>
      <c r="E17" s="21" t="n">
        <f aca="false">E7-E15</f>
        <v>271600</v>
      </c>
      <c r="F17" s="17"/>
    </row>
    <row r="18" customFormat="false" ht="19.5" hidden="false" customHeight="true" outlineLevel="0" collapsed="false">
      <c r="C18" s="16" t="s">
        <v>30</v>
      </c>
      <c r="D18" s="17"/>
      <c r="E18" s="22" t="n">
        <f aca="false">IFERROR(E18*(E10/12)*(1+E10/12)^(E11*12)/((1+E10/12)^(E11*12)-1),0)</f>
        <v>0</v>
      </c>
      <c r="F18" s="17"/>
    </row>
    <row r="19" customFormat="false" ht="6" hidden="false" customHeight="true" outlineLevel="0" collapsed="false"/>
    <row r="20" customFormat="false" ht="21.75" hidden="false" customHeight="true" outlineLevel="0" collapsed="false">
      <c r="C20" s="15" t="s">
        <v>31</v>
      </c>
      <c r="D20" s="15"/>
      <c r="E20" s="15"/>
      <c r="F20" s="15"/>
      <c r="G20" s="15"/>
      <c r="H20" s="15"/>
    </row>
    <row r="21" customFormat="false" ht="19.5" hidden="false" customHeight="true" outlineLevel="0" collapsed="false">
      <c r="C21" s="16" t="s">
        <v>32</v>
      </c>
      <c r="D21" s="17"/>
      <c r="E21" s="18" t="n">
        <v>2200</v>
      </c>
      <c r="F21" s="17"/>
    </row>
    <row r="22" customFormat="false" ht="19.5" hidden="false" customHeight="true" outlineLevel="0" collapsed="false">
      <c r="C22" s="16" t="s">
        <v>33</v>
      </c>
      <c r="D22" s="17"/>
      <c r="E22" s="19" t="n">
        <v>0.05</v>
      </c>
      <c r="F22" s="17"/>
    </row>
    <row r="23" customFormat="false" ht="19.5" hidden="false" customHeight="true" outlineLevel="0" collapsed="false">
      <c r="C23" s="16" t="s">
        <v>34</v>
      </c>
      <c r="D23" s="17"/>
      <c r="E23" s="18" t="n">
        <v>0</v>
      </c>
      <c r="F23" s="17"/>
    </row>
    <row r="24" customFormat="false" ht="19.5" hidden="false" customHeight="true" outlineLevel="0" collapsed="false">
      <c r="C24" s="16" t="s">
        <v>35</v>
      </c>
      <c r="D24" s="17"/>
      <c r="E24" s="23" t="n">
        <f aca="false">E21*(1-E22)+E23</f>
        <v>2090</v>
      </c>
      <c r="F24" s="17"/>
    </row>
    <row r="25" customFormat="false" ht="6" hidden="false" customHeight="true" outlineLevel="0" collapsed="false"/>
    <row r="26" customFormat="false" ht="21.75" hidden="false" customHeight="true" outlineLevel="0" collapsed="false">
      <c r="C26" s="15" t="s">
        <v>36</v>
      </c>
      <c r="D26" s="15"/>
      <c r="E26" s="15"/>
      <c r="F26" s="15"/>
      <c r="G26" s="15"/>
      <c r="H26" s="15"/>
    </row>
    <row r="27" customFormat="false" ht="19.5" hidden="false" customHeight="true" outlineLevel="0" collapsed="false">
      <c r="C27" s="16" t="s">
        <v>37</v>
      </c>
      <c r="D27" s="17"/>
      <c r="E27" s="18" t="n">
        <v>250</v>
      </c>
      <c r="F27" s="17"/>
    </row>
    <row r="28" customFormat="false" ht="19.5" hidden="false" customHeight="true" outlineLevel="0" collapsed="false">
      <c r="C28" s="16" t="s">
        <v>38</v>
      </c>
      <c r="D28" s="17"/>
      <c r="E28" s="18" t="n">
        <v>120</v>
      </c>
      <c r="F28" s="17"/>
    </row>
    <row r="29" customFormat="false" ht="19.5" hidden="false" customHeight="true" outlineLevel="0" collapsed="false">
      <c r="C29" s="16" t="s">
        <v>39</v>
      </c>
      <c r="D29" s="17"/>
      <c r="E29" s="18" t="n">
        <v>0</v>
      </c>
      <c r="F29" s="17"/>
    </row>
    <row r="30" customFormat="false" ht="19.5" hidden="false" customHeight="true" outlineLevel="0" collapsed="false">
      <c r="C30" s="16" t="s">
        <v>40</v>
      </c>
      <c r="D30" s="17"/>
      <c r="E30" s="19" t="n">
        <v>0.08</v>
      </c>
      <c r="F30" s="17"/>
    </row>
    <row r="31" customFormat="false" ht="19.5" hidden="false" customHeight="true" outlineLevel="0" collapsed="false">
      <c r="C31" s="16" t="s">
        <v>41</v>
      </c>
      <c r="D31" s="17"/>
      <c r="E31" s="19" t="n">
        <v>0.08</v>
      </c>
      <c r="F31" s="17"/>
    </row>
    <row r="32" customFormat="false" ht="19.5" hidden="false" customHeight="true" outlineLevel="0" collapsed="false">
      <c r="C32" s="16" t="s">
        <v>42</v>
      </c>
      <c r="D32" s="17"/>
      <c r="E32" s="18" t="n">
        <v>50</v>
      </c>
      <c r="F32" s="17"/>
    </row>
    <row r="33" customFormat="false" ht="19.5" hidden="false" customHeight="true" outlineLevel="0" collapsed="false">
      <c r="C33" s="16" t="s">
        <v>43</v>
      </c>
      <c r="D33" s="17"/>
      <c r="E33" s="22" t="n">
        <f aca="false">E21*E30</f>
        <v>176</v>
      </c>
      <c r="F33" s="17"/>
    </row>
    <row r="34" customFormat="false" ht="19.5" hidden="false" customHeight="true" outlineLevel="0" collapsed="false">
      <c r="C34" s="16" t="s">
        <v>44</v>
      </c>
      <c r="D34" s="17"/>
      <c r="E34" s="22" t="n">
        <f aca="false">E21*E31</f>
        <v>176</v>
      </c>
      <c r="F34" s="17"/>
    </row>
    <row r="35" customFormat="false" ht="21.75" hidden="false" customHeight="true" outlineLevel="0" collapsed="false">
      <c r="C35" s="24" t="s">
        <v>45</v>
      </c>
      <c r="D35" s="25"/>
      <c r="E35" s="23" t="n">
        <f aca="false">E27+E28+E29+E33+E34+E32+E18</f>
        <v>772</v>
      </c>
      <c r="F35" s="25"/>
    </row>
    <row r="36" customFormat="false" ht="6" hidden="false" customHeight="true" outlineLevel="0" collapsed="false"/>
    <row r="37" customFormat="false" ht="21.75" hidden="false" customHeight="true" outlineLevel="0" collapsed="false">
      <c r="C37" s="15" t="s">
        <v>46</v>
      </c>
      <c r="D37" s="15"/>
      <c r="E37" s="15"/>
      <c r="F37" s="15"/>
      <c r="G37" s="15"/>
      <c r="H37" s="15"/>
    </row>
    <row r="38" customFormat="false" ht="21.75" hidden="false" customHeight="true" outlineLevel="0" collapsed="false">
      <c r="C38" s="26" t="s">
        <v>47</v>
      </c>
      <c r="D38" s="17"/>
      <c r="E38" s="27" t="n">
        <f aca="false">E24-E35</f>
        <v>1318</v>
      </c>
      <c r="F38" s="17"/>
    </row>
    <row r="39" customFormat="false" ht="21.75" hidden="false" customHeight="true" outlineLevel="0" collapsed="false">
      <c r="C39" s="26" t="s">
        <v>48</v>
      </c>
      <c r="D39" s="17"/>
      <c r="E39" s="27" t="n">
        <f aca="false">E38*12</f>
        <v>15816</v>
      </c>
      <c r="F39" s="17"/>
    </row>
    <row r="40" customFormat="false" ht="21.75" hidden="false" customHeight="true" outlineLevel="0" collapsed="false">
      <c r="C40" s="26" t="s">
        <v>49</v>
      </c>
      <c r="D40" s="17"/>
      <c r="E40" s="28" t="n">
        <f aca="false">IFERROR(E39/E16,0)</f>
        <v>0.245590062111801</v>
      </c>
      <c r="F40" s="17"/>
    </row>
    <row r="41" customFormat="false" ht="21.75" hidden="false" customHeight="true" outlineLevel="0" collapsed="false">
      <c r="C41" s="26" t="s">
        <v>50</v>
      </c>
      <c r="D41" s="17"/>
      <c r="E41" s="28" t="n">
        <f aca="false">IFERROR((E24*12-(E27+E28+E29+E33+E34+E32)*12)/E7,0)</f>
        <v>0.0564857142857143</v>
      </c>
      <c r="F41" s="17"/>
    </row>
    <row r="42" customFormat="false" ht="21.75" hidden="false" customHeight="true" outlineLevel="0" collapsed="false">
      <c r="C42" s="26" t="s">
        <v>51</v>
      </c>
      <c r="D42" s="17"/>
      <c r="E42" s="29" t="n">
        <f aca="false">IFERROR(E7/(E21*12),0)</f>
        <v>10.6060606060606</v>
      </c>
      <c r="F42" s="17"/>
    </row>
    <row r="43" customFormat="false" ht="21.75" hidden="false" customHeight="true" outlineLevel="0" collapsed="false">
      <c r="C43" s="24" t="s">
        <v>52</v>
      </c>
      <c r="D43" s="25"/>
      <c r="E43" s="30" t="str">
        <f aca="false">IF(E40&gt;=0.08,"✅ Strong Cash Flow",IF(E40&gt;=0.04,"⚠️ Marginal — Review Costs","❌ Negative Cash Flow"))</f>
        <v>✅ Strong Cash Flow</v>
      </c>
      <c r="F43" s="25"/>
    </row>
    <row r="44" customFormat="false" ht="6" hidden="false" customHeight="true" outlineLevel="0" collapsed="false"/>
    <row r="45" customFormat="false" ht="21.75" hidden="false" customHeight="true" outlineLevel="0" collapsed="false">
      <c r="C45" s="15" t="s">
        <v>53</v>
      </c>
      <c r="D45" s="15"/>
      <c r="E45" s="15"/>
      <c r="F45" s="15"/>
      <c r="G45" s="15"/>
      <c r="H45" s="15"/>
    </row>
    <row r="46" customFormat="false" ht="18" hidden="false" customHeight="true" outlineLevel="0" collapsed="false">
      <c r="C46" s="11" t="s">
        <v>54</v>
      </c>
      <c r="D46" s="11"/>
      <c r="E46" s="11"/>
      <c r="F46" s="11"/>
      <c r="G46" s="11"/>
      <c r="H46" s="11"/>
    </row>
    <row r="47" customFormat="false" ht="19.5" hidden="false" customHeight="true" outlineLevel="0" collapsed="false">
      <c r="C47" s="16" t="s">
        <v>55</v>
      </c>
      <c r="D47" s="17"/>
      <c r="E47" s="19" t="n">
        <v>0.03</v>
      </c>
      <c r="F47" s="17"/>
    </row>
    <row r="48" customFormat="false" ht="19.5" hidden="false" customHeight="true" outlineLevel="0" collapsed="false">
      <c r="C48" s="16" t="s">
        <v>56</v>
      </c>
      <c r="D48" s="17"/>
      <c r="E48" s="19" t="n">
        <v>0.04</v>
      </c>
      <c r="F48" s="17"/>
    </row>
    <row r="49" customFormat="false" ht="6" hidden="false" customHeight="true" outlineLevel="0" collapsed="false"/>
    <row r="50" customFormat="false" ht="19.5" hidden="false" customHeight="true" outlineLevel="0" collapsed="false">
      <c r="C50" s="31" t="s">
        <v>57</v>
      </c>
      <c r="D50" s="4"/>
      <c r="E50" s="32" t="s">
        <v>58</v>
      </c>
      <c r="F50" s="32" t="s">
        <v>59</v>
      </c>
      <c r="G50" s="32" t="s">
        <v>60</v>
      </c>
      <c r="H50" s="32" t="s">
        <v>61</v>
      </c>
      <c r="I50" s="32" t="s">
        <v>62</v>
      </c>
    </row>
    <row r="51" customFormat="false" ht="19.5" hidden="false" customHeight="true" outlineLevel="0" collapsed="false">
      <c r="C51" s="16" t="s">
        <v>63</v>
      </c>
      <c r="D51" s="17"/>
      <c r="E51" s="21" t="n">
        <f aca="false">E21*(1+E47)^1</f>
        <v>2266</v>
      </c>
      <c r="F51" s="21" t="n">
        <f aca="false">E21*(1+E47)^2</f>
        <v>2333.98</v>
      </c>
      <c r="G51" s="21" t="n">
        <f aca="false">E21*(1+E47)^3</f>
        <v>2403.9994</v>
      </c>
      <c r="H51" s="21" t="n">
        <f aca="false">E21*(1+E47)^4</f>
        <v>2476.119382</v>
      </c>
      <c r="I51" s="21" t="n">
        <f aca="false">E21*(1+E47)^5</f>
        <v>2550.40296346</v>
      </c>
    </row>
    <row r="52" customFormat="false" ht="19.5" hidden="false" customHeight="true" outlineLevel="0" collapsed="false">
      <c r="C52" s="16" t="s">
        <v>64</v>
      </c>
      <c r="D52" s="17"/>
      <c r="E52" s="21" t="n">
        <f aca="false">(E21*(1+E47)^1*(1-E22)+E23-E27-E28-E29-E21*(1+E47)^1*E30-E21*(1+E47)^1*E31-E32-E18)*12</f>
        <v>16441.68</v>
      </c>
      <c r="F52" s="21" t="n">
        <f aca="false">(E21*(1+E47)^2*(1-E22)+E23-E27-E28-E29-E21*(1+E47)^2*E30-E21*(1+E47)^2*E31-E32-E18)*12</f>
        <v>17086.1304</v>
      </c>
      <c r="G52" s="21" t="n">
        <f aca="false">(E21*(1+E47)^3*(1-E22)+E23-E27-E28-E29-E21*(1+E47)^3*E30-E21*(1+E47)^3*E31-E32-E18)*12</f>
        <v>17749.914312</v>
      </c>
      <c r="H52" s="21" t="n">
        <f aca="false">(E21*(1+E47)^4*(1-E22)+E23-E27-E28-E29-E21*(1+E47)^4*E30-E21*(1+E47)^4*E31-E32-E18)*12</f>
        <v>18433.61174136</v>
      </c>
      <c r="I52" s="21" t="n">
        <f aca="false">(E21*(1+E47)^5*(1-E22)+E23-E27-E28-E29-E21*(1+E47)^5*E30-E21*(1+E47)^5*E31-E32-E18)*12</f>
        <v>19137.8200936008</v>
      </c>
    </row>
    <row r="53" customFormat="false" ht="19.5" hidden="false" customHeight="true" outlineLevel="0" collapsed="false">
      <c r="C53" s="16" t="s">
        <v>65</v>
      </c>
      <c r="D53" s="17"/>
      <c r="E53" s="21" t="n">
        <f aca="false">E7*(1+E48)^1</f>
        <v>291200</v>
      </c>
      <c r="F53" s="21" t="n">
        <f aca="false">E7*(1+E48)^2</f>
        <v>302848</v>
      </c>
      <c r="G53" s="21" t="n">
        <f aca="false">E7*(1+E48)^3</f>
        <v>314961.92</v>
      </c>
      <c r="H53" s="21" t="n">
        <f aca="false">E7*(1+E48)^4</f>
        <v>327560.3968</v>
      </c>
      <c r="I53" s="21" t="n">
        <f aca="false">E7*(1+E48)^5</f>
        <v>340662.812672</v>
      </c>
    </row>
    <row r="54" customFormat="false" ht="19.5" hidden="false" customHeight="true" outlineLevel="0" collapsed="false">
      <c r="C54" s="16" t="s">
        <v>66</v>
      </c>
      <c r="D54" s="17"/>
      <c r="E54" s="21" t="n">
        <f aca="false">IFERROR(E18*((1+E10/12)^(E11*12)-(1+E10/12)^(1*12))/((1+E10/12)^(E11*12)-1),0)</f>
        <v>0</v>
      </c>
      <c r="F54" s="21" t="n">
        <f aca="false">IFERROR(E18*((1+E10/12)^(E11*12)-(1+E10/12)^(2*12))/((1+E10/12)^(E11*12)-1),0)</f>
        <v>0</v>
      </c>
      <c r="G54" s="21" t="n">
        <f aca="false">IFERROR(E18*((1+E10/12)^(E11*12)-(1+E10/12)^(3*12))/((1+E10/12)^(E11*12)-1),0)</f>
        <v>0</v>
      </c>
      <c r="H54" s="21" t="n">
        <f aca="false">IFERROR(E18*((1+E10/12)^(E11*12)-(1+E10/12)^(4*12))/((1+E10/12)^(E11*12)-1),0)</f>
        <v>0</v>
      </c>
      <c r="I54" s="21" t="n">
        <f aca="false">IFERROR(E18*((1+E10/12)^(E11*12)-(1+E10/12)^(5*12))/((1+E10/12)^(E11*12)-1),0)</f>
        <v>0</v>
      </c>
    </row>
    <row r="55" customFormat="false" ht="19.5" hidden="false" customHeight="true" outlineLevel="0" collapsed="false">
      <c r="C55" s="16" t="s">
        <v>67</v>
      </c>
      <c r="D55" s="17"/>
      <c r="E55" s="21" t="n">
        <f aca="false">E7*(1+E48)^1-IFERROR(E18*((1+E10/12)^(E11*12)-(1+E10/12)^(1*12))/((1+E10/12)^(E11*12)-1),0)</f>
        <v>291200</v>
      </c>
      <c r="F55" s="21" t="n">
        <f aca="false">E7*(1+E48)^2-IFERROR(E18*((1+E10/12)^(E11*12)-(1+E10/12)^(2*12))/((1+E10/12)^(E11*12)-1),0)</f>
        <v>302848</v>
      </c>
      <c r="G55" s="21" t="n">
        <f aca="false">E7*(1+E48)^3-IFERROR(E18*((1+E10/12)^(E11*12)-(1+E10/12)^(3*12))/((1+E10/12)^(E11*12)-1),0)</f>
        <v>314961.92</v>
      </c>
      <c r="H55" s="21" t="n">
        <f aca="false">E7*(1+E48)^4-IFERROR(E18*((1+E10/12)^(E11*12)-(1+E10/12)^(4*12))/((1+E10/12)^(E11*12)-1),0)</f>
        <v>327560.3968</v>
      </c>
      <c r="I55" s="21" t="n">
        <f aca="false">E7*(1+E48)^5-IFERROR(E18*((1+E10/12)^(E11*12)-(1+E10/12)^(5*12))/((1+E10/12)^(E11*12)-1),0)</f>
        <v>340662.812672</v>
      </c>
    </row>
    <row r="56" customFormat="false" ht="6" hidden="false" customHeight="true" outlineLevel="0" collapsed="false"/>
    <row r="57" customFormat="false" ht="6" hidden="false" customHeight="true" outlineLevel="0" collapsed="false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</row>
    <row r="58" customFormat="false" ht="43.5" hidden="false" customHeight="true" outlineLevel="0" collapsed="false">
      <c r="C58" s="34" t="s">
        <v>68</v>
      </c>
      <c r="D58" s="34"/>
      <c r="E58" s="34"/>
      <c r="F58" s="34"/>
      <c r="G58" s="34"/>
      <c r="H58" s="34"/>
      <c r="I58" s="34"/>
    </row>
    <row r="59" customFormat="false" ht="19.5" hidden="false" customHeight="true" outlineLevel="0" collapsed="false">
      <c r="C59" s="35" t="s">
        <v>69</v>
      </c>
      <c r="D59" s="35"/>
      <c r="E59" s="35"/>
      <c r="F59" s="35"/>
      <c r="G59" s="35"/>
      <c r="H59" s="35"/>
      <c r="I59" s="35"/>
    </row>
    <row r="60" customFormat="false" ht="19.5" hidden="false" customHeight="true" outlineLevel="0" collapsed="false">
      <c r="C60" s="35" t="s">
        <v>70</v>
      </c>
      <c r="D60" s="35"/>
      <c r="E60" s="35"/>
      <c r="F60" s="35"/>
      <c r="G60" s="35"/>
      <c r="H60" s="35"/>
      <c r="I60" s="35"/>
    </row>
    <row r="61" customFormat="false" ht="7.5" hidden="false" customHeight="true" outlineLevel="0" collapsed="false">
      <c r="C61" s="36"/>
      <c r="D61" s="36"/>
      <c r="E61" s="36"/>
      <c r="F61" s="36"/>
      <c r="G61" s="36"/>
      <c r="H61" s="36"/>
      <c r="I61" s="36"/>
    </row>
    <row r="62" customFormat="false" ht="19.5" hidden="false" customHeight="true" outlineLevel="0" collapsed="false">
      <c r="C62" s="37" t="s">
        <v>71</v>
      </c>
      <c r="D62" s="37"/>
      <c r="E62" s="37"/>
      <c r="F62" s="37"/>
      <c r="G62" s="37"/>
      <c r="H62" s="37"/>
      <c r="I62" s="37"/>
    </row>
    <row r="63" customFormat="false" ht="19.5" hidden="false" customHeight="true" outlineLevel="0" collapsed="false">
      <c r="C63" s="37" t="s">
        <v>72</v>
      </c>
      <c r="D63" s="37"/>
      <c r="E63" s="37"/>
      <c r="F63" s="37"/>
      <c r="G63" s="37"/>
      <c r="H63" s="37"/>
      <c r="I63" s="37"/>
    </row>
    <row r="64" customFormat="false" ht="6" hidden="false" customHeight="true" outlineLevel="0" collapsed="false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</row>
  </sheetData>
  <mergeCells count="15">
    <mergeCell ref="C2:H2"/>
    <mergeCell ref="C3:H3"/>
    <mergeCell ref="C6:H6"/>
    <mergeCell ref="C13:H13"/>
    <mergeCell ref="C20:H20"/>
    <mergeCell ref="C26:H26"/>
    <mergeCell ref="C37:H37"/>
    <mergeCell ref="C45:H45"/>
    <mergeCell ref="C46:H46"/>
    <mergeCell ref="C58:I58"/>
    <mergeCell ref="C59:I59"/>
    <mergeCell ref="C60:I60"/>
    <mergeCell ref="C61:I61"/>
    <mergeCell ref="C62:I62"/>
    <mergeCell ref="C63:I6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6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"/>
    <col collapsed="false" customWidth="true" hidden="false" outlineLevel="0" max="3" min="3" style="0" width="38"/>
    <col collapsed="false" customWidth="true" hidden="false" outlineLevel="0" max="4" min="4" style="0" width="6"/>
    <col collapsed="false" customWidth="true" hidden="false" outlineLevel="0" max="5" min="5" style="0" width="20"/>
    <col collapsed="false" customWidth="true" hidden="false" outlineLevel="0" max="6" min="6" style="0" width="6"/>
    <col collapsed="false" customWidth="true" hidden="false" outlineLevel="0" max="7" min="7" style="0" width="22"/>
    <col collapsed="false" customWidth="true" hidden="false" outlineLevel="0" max="8" min="8" style="0" width="6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</row>
    <row r="2" customFormat="false" ht="43.5" hidden="false" customHeight="true" outlineLevel="0" collapsed="false">
      <c r="C2" s="13" t="s">
        <v>73</v>
      </c>
      <c r="D2" s="13"/>
      <c r="E2" s="13"/>
      <c r="F2" s="13"/>
      <c r="G2" s="13"/>
      <c r="H2" s="13"/>
    </row>
    <row r="3" customFormat="false" ht="21.75" hidden="false" customHeight="true" outlineLevel="0" collapsed="false">
      <c r="C3" s="14" t="s">
        <v>18</v>
      </c>
      <c r="D3" s="14"/>
      <c r="E3" s="14"/>
      <c r="F3" s="14"/>
      <c r="G3" s="14"/>
      <c r="H3" s="14"/>
    </row>
    <row r="4" customFormat="false" ht="6" hidden="false" customHeight="true" outlineLevel="0" collapsed="false">
      <c r="A4" s="4"/>
      <c r="B4" s="4"/>
      <c r="C4" s="4"/>
      <c r="D4" s="4"/>
      <c r="E4" s="4"/>
      <c r="F4" s="4"/>
      <c r="G4" s="4"/>
      <c r="H4" s="4"/>
    </row>
    <row r="5" customFormat="false" ht="6" hidden="false" customHeight="true" outlineLevel="0" collapsed="false"/>
    <row r="6" customFormat="false" ht="21.75" hidden="false" customHeight="true" outlineLevel="0" collapsed="false">
      <c r="C6" s="15" t="s">
        <v>74</v>
      </c>
      <c r="D6" s="15"/>
      <c r="E6" s="15"/>
      <c r="F6" s="15"/>
      <c r="G6" s="15"/>
      <c r="H6" s="15"/>
    </row>
    <row r="7" customFormat="false" ht="19.5" hidden="false" customHeight="true" outlineLevel="0" collapsed="false">
      <c r="C7" s="16" t="s">
        <v>20</v>
      </c>
      <c r="D7" s="17"/>
      <c r="E7" s="18" t="n">
        <v>150000</v>
      </c>
      <c r="F7" s="17"/>
    </row>
    <row r="8" customFormat="false" ht="19.5" hidden="false" customHeight="true" outlineLevel="0" collapsed="false">
      <c r="C8" s="16" t="s">
        <v>21</v>
      </c>
      <c r="D8" s="17"/>
      <c r="E8" s="19" t="n">
        <v>0.2</v>
      </c>
      <c r="F8" s="17"/>
    </row>
    <row r="9" customFormat="false" ht="19.5" hidden="false" customHeight="true" outlineLevel="0" collapsed="false">
      <c r="C9" s="16" t="s">
        <v>75</v>
      </c>
      <c r="D9" s="17"/>
      <c r="E9" s="19" t="n">
        <v>0.12</v>
      </c>
      <c r="F9" s="17"/>
    </row>
    <row r="10" customFormat="false" ht="19.5" hidden="false" customHeight="true" outlineLevel="0" collapsed="false">
      <c r="C10" s="16" t="s">
        <v>76</v>
      </c>
      <c r="D10" s="17"/>
      <c r="E10" s="20" t="n">
        <v>9</v>
      </c>
      <c r="F10" s="17"/>
    </row>
    <row r="11" customFormat="false" ht="19.5" hidden="false" customHeight="true" outlineLevel="0" collapsed="false">
      <c r="C11" s="16" t="s">
        <v>77</v>
      </c>
      <c r="D11" s="17"/>
      <c r="E11" s="19" t="n">
        <v>0.02</v>
      </c>
      <c r="F11" s="17"/>
    </row>
    <row r="12" customFormat="false" ht="6" hidden="false" customHeight="true" outlineLevel="0" collapsed="false"/>
    <row r="13" customFormat="false" ht="18" hidden="false" customHeight="true" outlineLevel="0" collapsed="false">
      <c r="C13" s="11" t="s">
        <v>25</v>
      </c>
      <c r="D13" s="11"/>
      <c r="E13" s="11"/>
      <c r="F13" s="11"/>
      <c r="G13" s="11"/>
      <c r="H13" s="11"/>
    </row>
    <row r="14" customFormat="false" ht="15" hidden="false" customHeight="false" outlineLevel="0" collapsed="false">
      <c r="C14" s="16" t="s">
        <v>26</v>
      </c>
      <c r="D14" s="17"/>
      <c r="E14" s="21" t="n">
        <f aca="false">E7*E8</f>
        <v>30000</v>
      </c>
      <c r="F14" s="17"/>
    </row>
    <row r="15" customFormat="false" ht="15" hidden="false" customHeight="false" outlineLevel="0" collapsed="false">
      <c r="C15" s="16" t="s">
        <v>29</v>
      </c>
      <c r="D15" s="17"/>
      <c r="E15" s="21" t="n">
        <f aca="false">E7-E14</f>
        <v>120000</v>
      </c>
      <c r="F15" s="17"/>
    </row>
    <row r="16" customFormat="false" ht="15" hidden="false" customHeight="false" outlineLevel="0" collapsed="false">
      <c r="C16" s="16" t="s">
        <v>78</v>
      </c>
      <c r="D16" s="17"/>
      <c r="E16" s="21" t="n">
        <f aca="false">E15*E11</f>
        <v>2400</v>
      </c>
      <c r="F16" s="17"/>
    </row>
    <row r="17" customFormat="false" ht="15" hidden="false" customHeight="false" outlineLevel="0" collapsed="false">
      <c r="C17" s="16" t="s">
        <v>79</v>
      </c>
      <c r="D17" s="17"/>
      <c r="E17" s="22" t="n">
        <f aca="false">E15*(E9/12)</f>
        <v>1200</v>
      </c>
      <c r="F17" s="17"/>
    </row>
    <row r="18" customFormat="false" ht="6" hidden="false" customHeight="true" outlineLevel="0" collapsed="false"/>
    <row r="19" customFormat="false" ht="21.75" hidden="false" customHeight="true" outlineLevel="0" collapsed="false">
      <c r="C19" s="15" t="s">
        <v>80</v>
      </c>
      <c r="D19" s="15"/>
      <c r="E19" s="15"/>
      <c r="F19" s="15"/>
      <c r="G19" s="15"/>
      <c r="H19" s="15"/>
    </row>
    <row r="20" customFormat="false" ht="19.5" hidden="false" customHeight="true" outlineLevel="0" collapsed="false">
      <c r="C20" s="16" t="s">
        <v>81</v>
      </c>
      <c r="D20" s="17"/>
      <c r="E20" s="18" t="n">
        <v>15000</v>
      </c>
      <c r="F20" s="17"/>
    </row>
    <row r="21" customFormat="false" ht="19.5" hidden="false" customHeight="true" outlineLevel="0" collapsed="false">
      <c r="C21" s="16" t="s">
        <v>82</v>
      </c>
      <c r="D21" s="17"/>
      <c r="E21" s="18" t="n">
        <v>8000</v>
      </c>
      <c r="F21" s="17"/>
    </row>
    <row r="22" customFormat="false" ht="19.5" hidden="false" customHeight="true" outlineLevel="0" collapsed="false">
      <c r="C22" s="16" t="s">
        <v>83</v>
      </c>
      <c r="D22" s="17"/>
      <c r="E22" s="18" t="n">
        <v>6000</v>
      </c>
      <c r="F22" s="17"/>
    </row>
    <row r="23" customFormat="false" ht="19.5" hidden="false" customHeight="true" outlineLevel="0" collapsed="false">
      <c r="C23" s="16" t="s">
        <v>84</v>
      </c>
      <c r="D23" s="17"/>
      <c r="E23" s="18" t="n">
        <v>0</v>
      </c>
      <c r="F23" s="17"/>
    </row>
    <row r="24" customFormat="false" ht="19.5" hidden="false" customHeight="true" outlineLevel="0" collapsed="false">
      <c r="C24" s="16" t="s">
        <v>85</v>
      </c>
      <c r="D24" s="17"/>
      <c r="E24" s="18" t="n">
        <v>0</v>
      </c>
      <c r="F24" s="17"/>
    </row>
    <row r="25" customFormat="false" ht="19.5" hidden="false" customHeight="true" outlineLevel="0" collapsed="false">
      <c r="C25" s="16" t="s">
        <v>86</v>
      </c>
      <c r="D25" s="17"/>
      <c r="E25" s="18" t="n">
        <v>4000</v>
      </c>
      <c r="F25" s="17"/>
    </row>
    <row r="26" customFormat="false" ht="19.5" hidden="false" customHeight="true" outlineLevel="0" collapsed="false">
      <c r="C26" s="16" t="s">
        <v>87</v>
      </c>
      <c r="D26" s="17"/>
      <c r="E26" s="18" t="n">
        <v>2000</v>
      </c>
      <c r="F26" s="17"/>
    </row>
    <row r="27" customFormat="false" ht="19.5" hidden="false" customHeight="true" outlineLevel="0" collapsed="false">
      <c r="C27" s="16" t="s">
        <v>88</v>
      </c>
      <c r="D27" s="17"/>
      <c r="E27" s="18" t="n">
        <v>0</v>
      </c>
      <c r="F27" s="17"/>
    </row>
    <row r="28" customFormat="false" ht="19.5" hidden="false" customHeight="true" outlineLevel="0" collapsed="false">
      <c r="C28" s="16" t="s">
        <v>89</v>
      </c>
      <c r="D28" s="17"/>
      <c r="E28" s="18" t="n">
        <v>3000</v>
      </c>
      <c r="F28" s="17"/>
    </row>
    <row r="29" customFormat="false" ht="21.75" hidden="false" customHeight="true" outlineLevel="0" collapsed="false">
      <c r="C29" s="24" t="s">
        <v>90</v>
      </c>
      <c r="D29" s="25"/>
      <c r="E29" s="38" t="n">
        <f aca="false">SUM(E20:E28)</f>
        <v>38000</v>
      </c>
      <c r="F29" s="25"/>
    </row>
    <row r="30" customFormat="false" ht="6" hidden="false" customHeight="true" outlineLevel="0" collapsed="false"/>
    <row r="31" customFormat="false" ht="21.75" hidden="false" customHeight="true" outlineLevel="0" collapsed="false">
      <c r="C31" s="15" t="s">
        <v>91</v>
      </c>
      <c r="D31" s="15"/>
      <c r="E31" s="15"/>
      <c r="F31" s="15"/>
      <c r="G31" s="15"/>
      <c r="H31" s="15"/>
    </row>
    <row r="32" customFormat="false" ht="19.5" hidden="false" customHeight="true" outlineLevel="0" collapsed="false">
      <c r="C32" s="16" t="s">
        <v>92</v>
      </c>
      <c r="D32" s="17"/>
      <c r="E32" s="20" t="n">
        <v>6</v>
      </c>
      <c r="F32" s="17"/>
    </row>
    <row r="33" customFormat="false" ht="19.5" hidden="false" customHeight="true" outlineLevel="0" collapsed="false">
      <c r="C33" s="16" t="s">
        <v>37</v>
      </c>
      <c r="D33" s="17"/>
      <c r="E33" s="18" t="n">
        <v>125</v>
      </c>
      <c r="F33" s="17"/>
    </row>
    <row r="34" customFormat="false" ht="19.5" hidden="false" customHeight="true" outlineLevel="0" collapsed="false">
      <c r="C34" s="16" t="s">
        <v>38</v>
      </c>
      <c r="D34" s="17"/>
      <c r="E34" s="18" t="n">
        <v>80</v>
      </c>
      <c r="F34" s="17"/>
    </row>
    <row r="35" customFormat="false" ht="19.5" hidden="false" customHeight="true" outlineLevel="0" collapsed="false">
      <c r="C35" s="16" t="s">
        <v>93</v>
      </c>
      <c r="D35" s="17"/>
      <c r="E35" s="18" t="n">
        <v>150</v>
      </c>
      <c r="F35" s="17"/>
    </row>
    <row r="36" customFormat="false" ht="19.5" hidden="false" customHeight="true" outlineLevel="0" collapsed="false">
      <c r="C36" s="16" t="s">
        <v>94</v>
      </c>
      <c r="D36" s="17"/>
      <c r="E36" s="18" t="n">
        <v>0</v>
      </c>
      <c r="F36" s="17"/>
    </row>
    <row r="37" customFormat="false" ht="21.75" hidden="false" customHeight="true" outlineLevel="0" collapsed="false">
      <c r="C37" s="24" t="s">
        <v>95</v>
      </c>
      <c r="D37" s="25"/>
      <c r="E37" s="38" t="n">
        <f aca="false">(E17+E33+E34+E35+E36)*E32</f>
        <v>9330</v>
      </c>
      <c r="F37" s="25"/>
    </row>
    <row r="38" customFormat="false" ht="6" hidden="false" customHeight="true" outlineLevel="0" collapsed="false"/>
    <row r="39" customFormat="false" ht="21.75" hidden="false" customHeight="true" outlineLevel="0" collapsed="false">
      <c r="C39" s="15" t="s">
        <v>96</v>
      </c>
      <c r="D39" s="15"/>
      <c r="E39" s="15"/>
      <c r="F39" s="15"/>
      <c r="G39" s="15"/>
      <c r="H39" s="15"/>
    </row>
    <row r="40" customFormat="false" ht="19.5" hidden="false" customHeight="true" outlineLevel="0" collapsed="false">
      <c r="C40" s="16" t="s">
        <v>97</v>
      </c>
      <c r="D40" s="17"/>
      <c r="E40" s="18" t="n">
        <v>280000</v>
      </c>
      <c r="F40" s="17"/>
    </row>
    <row r="41" customFormat="false" ht="19.5" hidden="false" customHeight="true" outlineLevel="0" collapsed="false">
      <c r="C41" s="16" t="s">
        <v>98</v>
      </c>
      <c r="D41" s="17"/>
      <c r="E41" s="19" t="n">
        <v>0.06</v>
      </c>
      <c r="F41" s="17"/>
    </row>
    <row r="42" customFormat="false" ht="19.5" hidden="false" customHeight="true" outlineLevel="0" collapsed="false">
      <c r="C42" s="16" t="s">
        <v>99</v>
      </c>
      <c r="D42" s="17"/>
      <c r="E42" s="19" t="n">
        <v>0.02</v>
      </c>
      <c r="F42" s="17"/>
    </row>
    <row r="43" customFormat="false" ht="19.5" hidden="false" customHeight="true" outlineLevel="0" collapsed="false">
      <c r="C43" s="16" t="s">
        <v>100</v>
      </c>
      <c r="D43" s="17"/>
      <c r="E43" s="18" t="n">
        <v>2000</v>
      </c>
      <c r="F43" s="17"/>
    </row>
    <row r="44" customFormat="false" ht="21.75" hidden="false" customHeight="true" outlineLevel="0" collapsed="false">
      <c r="C44" s="24" t="s">
        <v>101</v>
      </c>
      <c r="D44" s="25"/>
      <c r="E44" s="38" t="n">
        <f aca="false">E40*E41+E40*E42+E43</f>
        <v>24400</v>
      </c>
      <c r="F44" s="25"/>
    </row>
    <row r="45" customFormat="false" ht="6" hidden="false" customHeight="true" outlineLevel="0" collapsed="false"/>
    <row r="46" customFormat="false" ht="21.75" hidden="false" customHeight="true" outlineLevel="0" collapsed="false">
      <c r="C46" s="15" t="s">
        <v>102</v>
      </c>
      <c r="D46" s="15"/>
      <c r="E46" s="15"/>
      <c r="F46" s="15"/>
      <c r="G46" s="15"/>
      <c r="H46" s="15"/>
    </row>
    <row r="47" customFormat="false" ht="19.5" hidden="false" customHeight="true" outlineLevel="0" collapsed="false">
      <c r="C47" s="16" t="s">
        <v>103</v>
      </c>
      <c r="D47" s="17"/>
      <c r="E47" s="21" t="n">
        <f aca="false">E14+E16</f>
        <v>32400</v>
      </c>
      <c r="F47" s="17"/>
    </row>
    <row r="48" customFormat="false" ht="19.5" hidden="false" customHeight="true" outlineLevel="0" collapsed="false">
      <c r="C48" s="16" t="s">
        <v>104</v>
      </c>
      <c r="D48" s="17"/>
      <c r="E48" s="21" t="n">
        <f aca="false">E7+E29+E37+E44+E16</f>
        <v>224130</v>
      </c>
      <c r="F48" s="17"/>
    </row>
    <row r="49" customFormat="false" ht="24" hidden="false" customHeight="true" outlineLevel="0" collapsed="false">
      <c r="C49" s="26" t="s">
        <v>105</v>
      </c>
      <c r="D49" s="17"/>
      <c r="E49" s="39" t="n">
        <f aca="false">E40-E48</f>
        <v>55870</v>
      </c>
      <c r="F49" s="17"/>
    </row>
    <row r="50" customFormat="false" ht="24" hidden="false" customHeight="true" outlineLevel="0" collapsed="false">
      <c r="C50" s="26" t="s">
        <v>106</v>
      </c>
      <c r="D50" s="17"/>
      <c r="E50" s="28" t="n">
        <f aca="false">IFERROR(E49/E47,0)</f>
        <v>1.72438271604938</v>
      </c>
      <c r="F50" s="17"/>
    </row>
    <row r="51" customFormat="false" ht="24" hidden="false" customHeight="true" outlineLevel="0" collapsed="false">
      <c r="C51" s="26" t="s">
        <v>107</v>
      </c>
      <c r="D51" s="17"/>
      <c r="E51" s="28" t="n">
        <f aca="false">IFERROR((1+E50)^(12/E32)-1,0)</f>
        <v>6.42226118350861</v>
      </c>
      <c r="F51" s="17"/>
    </row>
    <row r="52" customFormat="false" ht="6" hidden="false" customHeight="true" outlineLevel="0" collapsed="false"/>
    <row r="53" customFormat="false" ht="18" hidden="false" customHeight="true" outlineLevel="0" collapsed="false">
      <c r="C53" s="11" t="s">
        <v>108</v>
      </c>
      <c r="D53" s="11"/>
      <c r="E53" s="11"/>
      <c r="F53" s="11"/>
      <c r="G53" s="11"/>
      <c r="H53" s="11"/>
    </row>
    <row r="54" customFormat="false" ht="19.5" hidden="false" customHeight="true" outlineLevel="0" collapsed="false">
      <c r="C54" s="40" t="s">
        <v>109</v>
      </c>
      <c r="D54" s="17"/>
      <c r="E54" s="41" t="n">
        <f aca="false">E40*0.7-E29</f>
        <v>158000</v>
      </c>
      <c r="F54" s="17"/>
    </row>
    <row r="55" customFormat="false" ht="19.5" hidden="false" customHeight="true" outlineLevel="0" collapsed="false">
      <c r="C55" s="16" t="s">
        <v>110</v>
      </c>
      <c r="D55" s="17"/>
      <c r="E55" s="30" t="str">
        <f aca="false">IF(E7&lt;=E54,"✅ Under MAO — Good Deal","⚠️ Over MAO — Negotiate or Pass")</f>
        <v>✅ Under MAO — Good Deal</v>
      </c>
      <c r="F55" s="17"/>
    </row>
    <row r="56" customFormat="false" ht="21.75" hidden="false" customHeight="true" outlineLevel="0" collapsed="false">
      <c r="C56" s="24" t="s">
        <v>52</v>
      </c>
      <c r="D56" s="25"/>
      <c r="E56" s="30" t="str">
        <f aca="false">IF(E49&gt;=20000,IF(E50&gt;=0.2,"✅ Strong Flip","✅ Profitable — Review Numbers"),IF(E49&gt;0,"⚠️ Thin Margins","❌ Losing Deal"))</f>
        <v>✅ Strong Flip</v>
      </c>
      <c r="F56" s="25"/>
    </row>
    <row r="57" customFormat="false" ht="6" hidden="false" customHeight="true" outlineLevel="0" collapsed="false"/>
    <row r="58" customFormat="false" ht="6" hidden="false" customHeight="true" outlineLevel="0" collapsed="false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</row>
    <row r="59" customFormat="false" ht="43.5" hidden="false" customHeight="true" outlineLevel="0" collapsed="false">
      <c r="C59" s="34" t="s">
        <v>111</v>
      </c>
      <c r="D59" s="34"/>
      <c r="E59" s="34"/>
      <c r="F59" s="34"/>
      <c r="G59" s="34"/>
      <c r="H59" s="34"/>
      <c r="I59" s="34"/>
    </row>
    <row r="60" customFormat="false" ht="19.5" hidden="false" customHeight="true" outlineLevel="0" collapsed="false">
      <c r="C60" s="35" t="s">
        <v>112</v>
      </c>
      <c r="D60" s="35"/>
      <c r="E60" s="35"/>
      <c r="F60" s="35"/>
      <c r="G60" s="35"/>
      <c r="H60" s="35"/>
      <c r="I60" s="35"/>
    </row>
    <row r="61" customFormat="false" ht="19.5" hidden="false" customHeight="true" outlineLevel="0" collapsed="false">
      <c r="C61" s="35" t="s">
        <v>113</v>
      </c>
      <c r="D61" s="35"/>
      <c r="E61" s="35"/>
      <c r="F61" s="35"/>
      <c r="G61" s="35"/>
      <c r="H61" s="35"/>
      <c r="I61" s="35"/>
    </row>
    <row r="62" customFormat="false" ht="7.5" hidden="false" customHeight="true" outlineLevel="0" collapsed="false">
      <c r="C62" s="35"/>
      <c r="D62" s="35"/>
      <c r="E62" s="35"/>
      <c r="F62" s="35"/>
      <c r="G62" s="35"/>
      <c r="H62" s="35"/>
      <c r="I62" s="35"/>
    </row>
    <row r="63" customFormat="false" ht="19.5" hidden="false" customHeight="true" outlineLevel="0" collapsed="false">
      <c r="C63" s="37" t="s">
        <v>71</v>
      </c>
      <c r="D63" s="37"/>
      <c r="E63" s="37"/>
      <c r="F63" s="37"/>
      <c r="G63" s="37"/>
      <c r="H63" s="37"/>
      <c r="I63" s="37"/>
    </row>
    <row r="64" customFormat="false" ht="19.5" hidden="false" customHeight="true" outlineLevel="0" collapsed="false">
      <c r="C64" s="37" t="s">
        <v>114</v>
      </c>
      <c r="D64" s="37"/>
      <c r="E64" s="37"/>
      <c r="F64" s="37"/>
      <c r="G64" s="37"/>
      <c r="H64" s="37"/>
      <c r="I64" s="37"/>
    </row>
    <row r="65" customFormat="false" ht="6" hidden="false" customHeight="true" outlineLevel="0" collapsed="false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</row>
  </sheetData>
  <mergeCells count="15">
    <mergeCell ref="C2:H2"/>
    <mergeCell ref="C3:H3"/>
    <mergeCell ref="C6:H6"/>
    <mergeCell ref="C13:H13"/>
    <mergeCell ref="C19:H19"/>
    <mergeCell ref="C31:H31"/>
    <mergeCell ref="C39:H39"/>
    <mergeCell ref="C46:H46"/>
    <mergeCell ref="C53:H53"/>
    <mergeCell ref="C59:I59"/>
    <mergeCell ref="C60:I60"/>
    <mergeCell ref="C61:I61"/>
    <mergeCell ref="C62:I62"/>
    <mergeCell ref="C63:I63"/>
    <mergeCell ref="C64:I6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2026-04-19T14:05:27Z</dcterms:created>
  <dc:creator>openpyxl</dc:creator>
  <dc:description/>
  <dc:language>en-US</dc:language>
  <cp:lastModifiedBy/>
  <dcterms:modified xsi:type="dcterms:W3CDTF">2026-04-19T14:05:27Z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